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64C0B5B3-0FA3-40B1-A19F-97DE97638C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 (2)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K21" i="2" l="1"/>
  <c r="J21" i="2"/>
  <c r="J15" i="2"/>
  <c r="L15" i="2" s="1"/>
  <c r="K11" i="2"/>
  <c r="J11" i="2"/>
  <c r="L11" i="2" s="1"/>
  <c r="I11" i="2"/>
  <c r="K9" i="2"/>
  <c r="J9" i="2"/>
  <c r="I9" i="2"/>
  <c r="K4" i="2"/>
  <c r="L4" i="2" s="1"/>
  <c r="I4" i="2"/>
  <c r="I21" i="2"/>
  <c r="K16" i="2"/>
  <c r="J16" i="2"/>
  <c r="I16" i="2"/>
  <c r="K12" i="2"/>
  <c r="J12" i="2"/>
  <c r="L12" i="2" s="1"/>
  <c r="I12" i="2"/>
  <c r="K13" i="2"/>
  <c r="J13" i="2"/>
  <c r="I13" i="2"/>
  <c r="K10" i="2"/>
  <c r="J10" i="2"/>
  <c r="L10" i="2" s="1"/>
  <c r="I10" i="2"/>
  <c r="K6" i="2"/>
  <c r="L6" i="2" s="1"/>
  <c r="I6" i="2"/>
  <c r="K5" i="2"/>
  <c r="L5" i="2" s="1"/>
  <c r="I5" i="2"/>
  <c r="K7" i="2"/>
  <c r="L7" i="2" s="1"/>
  <c r="I7" i="2"/>
  <c r="K33" i="2"/>
  <c r="J33" i="2"/>
  <c r="L33" i="2" s="1"/>
  <c r="I33" i="2"/>
  <c r="K32" i="2"/>
  <c r="J32" i="2"/>
  <c r="I32" i="2"/>
  <c r="K31" i="2"/>
  <c r="J31" i="2"/>
  <c r="I31" i="2"/>
  <c r="K29" i="2"/>
  <c r="J29" i="2"/>
  <c r="L29" i="2" s="1"/>
  <c r="I29" i="2"/>
  <c r="K30" i="2"/>
  <c r="J30" i="2"/>
  <c r="I30" i="2"/>
  <c r="K28" i="2"/>
  <c r="J28" i="2"/>
  <c r="L28" i="2" s="1"/>
  <c r="I28" i="2"/>
  <c r="K27" i="2"/>
  <c r="J27" i="2"/>
  <c r="I27" i="2"/>
  <c r="K24" i="2"/>
  <c r="J24" i="2"/>
  <c r="I24" i="2"/>
  <c r="K25" i="2"/>
  <c r="J25" i="2"/>
  <c r="L25" i="2" s="1"/>
  <c r="I25" i="2"/>
  <c r="K26" i="2"/>
  <c r="J26" i="2"/>
  <c r="I26" i="2"/>
  <c r="K22" i="2"/>
  <c r="J22" i="2"/>
  <c r="I22" i="2"/>
  <c r="K23" i="2"/>
  <c r="J23" i="2"/>
  <c r="L23" i="2" s="1"/>
  <c r="I23" i="2"/>
  <c r="K20" i="2"/>
  <c r="J20" i="2"/>
  <c r="I20" i="2"/>
  <c r="K19" i="2"/>
  <c r="J19" i="2"/>
  <c r="L19" i="2" s="1"/>
  <c r="I19" i="2"/>
  <c r="K18" i="2"/>
  <c r="J18" i="2"/>
  <c r="I18" i="2"/>
  <c r="K17" i="2"/>
  <c r="J17" i="2"/>
  <c r="I17" i="2"/>
  <c r="K14" i="2"/>
  <c r="J14" i="2"/>
  <c r="L14" i="2" s="1"/>
  <c r="I14" i="2"/>
  <c r="L8" i="2"/>
  <c r="I8" i="2"/>
  <c r="L16" i="2" l="1"/>
  <c r="L20" i="2"/>
  <c r="L30" i="2"/>
  <c r="M30" i="2" s="1"/>
  <c r="L13" i="2"/>
  <c r="L18" i="2"/>
  <c r="M18" i="2" s="1"/>
  <c r="L26" i="2"/>
  <c r="M26" i="2" s="1"/>
  <c r="L22" i="2"/>
  <c r="M22" i="2" s="1"/>
  <c r="L31" i="2"/>
  <c r="M31" i="2" s="1"/>
  <c r="L17" i="2"/>
  <c r="M11" i="2"/>
  <c r="L32" i="2"/>
  <c r="M32" i="2" s="1"/>
  <c r="L24" i="2"/>
  <c r="L27" i="2"/>
  <c r="L9" i="2"/>
  <c r="M9" i="2" s="1"/>
  <c r="M27" i="2"/>
  <c r="M12" i="2"/>
  <c r="M4" i="2"/>
  <c r="M15" i="2"/>
  <c r="M33" i="2"/>
  <c r="M29" i="2"/>
  <c r="M8" i="2"/>
  <c r="M24" i="2"/>
  <c r="M19" i="2"/>
  <c r="M10" i="2"/>
  <c r="M7" i="2"/>
  <c r="L21" i="2"/>
  <c r="M21" i="2" s="1"/>
  <c r="M28" i="2"/>
  <c r="M20" i="2"/>
  <c r="M6" i="2"/>
  <c r="M14" i="2"/>
  <c r="M23" i="2"/>
  <c r="M16" i="2"/>
  <c r="M25" i="2"/>
  <c r="M5" i="2"/>
  <c r="M17" i="2"/>
  <c r="M13" i="2"/>
</calcChain>
</file>

<file path=xl/sharedStrings.xml><?xml version="1.0" encoding="utf-8"?>
<sst xmlns="http://schemas.openxmlformats.org/spreadsheetml/2006/main" count="115" uniqueCount="67">
  <si>
    <t>评委一</t>
    <phoneticPr fontId="2" type="noConversion"/>
  </si>
  <si>
    <t>评委二</t>
    <phoneticPr fontId="2" type="noConversion"/>
  </si>
  <si>
    <t>评委三</t>
    <phoneticPr fontId="2" type="noConversion"/>
  </si>
  <si>
    <t>评委四</t>
    <phoneticPr fontId="2" type="noConversion"/>
  </si>
  <si>
    <t>评委五</t>
    <phoneticPr fontId="2" type="noConversion"/>
  </si>
  <si>
    <t>花期已至共约法商</t>
    <phoneticPr fontId="2" type="noConversion"/>
  </si>
  <si>
    <t>一等</t>
    <phoneticPr fontId="2" type="noConversion"/>
  </si>
  <si>
    <t>学院一角</t>
    <phoneticPr fontId="2" type="noConversion"/>
  </si>
  <si>
    <t>二等</t>
    <phoneticPr fontId="2" type="noConversion"/>
  </si>
  <si>
    <t>印象</t>
    <phoneticPr fontId="2" type="noConversion"/>
  </si>
  <si>
    <t>让我们和青春“疫”起同行</t>
    <phoneticPr fontId="2" type="noConversion"/>
  </si>
  <si>
    <t>三等</t>
    <phoneticPr fontId="2" type="noConversion"/>
  </si>
  <si>
    <t>我的宿舍竟是豪宅</t>
    <phoneticPr fontId="2" type="noConversion"/>
  </si>
  <si>
    <t>伤不起</t>
    <phoneticPr fontId="2" type="noConversion"/>
  </si>
  <si>
    <t>疫情下的美食生活</t>
    <phoneticPr fontId="2" type="noConversion"/>
  </si>
  <si>
    <t>挑战与陌生人合影</t>
    <phoneticPr fontId="2" type="noConversion"/>
  </si>
  <si>
    <t>仲夏之约</t>
    <phoneticPr fontId="2" type="noConversion"/>
  </si>
  <si>
    <t>校园生活</t>
    <phoneticPr fontId="2" type="noConversion"/>
  </si>
  <si>
    <t>十八岁的我们</t>
    <phoneticPr fontId="2" type="noConversion"/>
  </si>
  <si>
    <t>我的大学</t>
    <phoneticPr fontId="2" type="noConversion"/>
  </si>
  <si>
    <t>法商的“夏冬春”</t>
    <phoneticPr fontId="2" type="noConversion"/>
  </si>
  <si>
    <t>封校生活也很快乐</t>
    <phoneticPr fontId="2" type="noConversion"/>
  </si>
  <si>
    <t>剩下的盛夏</t>
    <phoneticPr fontId="2" type="noConversion"/>
  </si>
  <si>
    <t>封校vlog</t>
    <phoneticPr fontId="2" type="noConversion"/>
  </si>
  <si>
    <t>喝雪碧的教学楼</t>
    <phoneticPr fontId="2" type="noConversion"/>
  </si>
  <si>
    <t>时代青年</t>
    <phoneticPr fontId="2" type="noConversion"/>
  </si>
  <si>
    <t>“志”在心中“愿”在行动</t>
    <phoneticPr fontId="2" type="noConversion"/>
  </si>
  <si>
    <t>我的第二故乡</t>
    <phoneticPr fontId="2" type="noConversion"/>
  </si>
  <si>
    <t>未来可期</t>
    <phoneticPr fontId="2" type="noConversion"/>
  </si>
  <si>
    <t>优秀法商人</t>
    <phoneticPr fontId="2" type="noConversion"/>
  </si>
  <si>
    <t>优秀·法商人二</t>
    <phoneticPr fontId="2" type="noConversion"/>
  </si>
  <si>
    <t>团训回忆</t>
    <phoneticPr fontId="2" type="noConversion"/>
  </si>
  <si>
    <t>青春肆意</t>
    <phoneticPr fontId="2" type="noConversion"/>
  </si>
  <si>
    <t>传承</t>
    <phoneticPr fontId="2" type="noConversion"/>
  </si>
  <si>
    <t>速涂板绘</t>
    <phoneticPr fontId="2" type="noConversion"/>
  </si>
  <si>
    <t>灾难中的中国精神</t>
    <phoneticPr fontId="2" type="noConversion"/>
  </si>
  <si>
    <t>披荆斩棘的中国</t>
    <phoneticPr fontId="2" type="noConversion"/>
  </si>
  <si>
    <t>百年征程</t>
    <phoneticPr fontId="2" type="noConversion"/>
  </si>
  <si>
    <t>以青春为笔，谱写新篇章</t>
    <phoneticPr fontId="2" type="noConversion"/>
  </si>
  <si>
    <t>喜迎二十大</t>
    <phoneticPr fontId="2" type="noConversion"/>
  </si>
  <si>
    <t>青春耀百年，永远跟党走</t>
    <phoneticPr fontId="2" type="noConversion"/>
  </si>
  <si>
    <t>党的光辉历程</t>
    <phoneticPr fontId="2" type="noConversion"/>
  </si>
  <si>
    <t>封不住的青春</t>
    <phoneticPr fontId="2" type="noConversion"/>
  </si>
  <si>
    <t>获得奖项</t>
    <phoneticPr fontId="2" type="noConversion"/>
  </si>
  <si>
    <t>作品名</t>
    <phoneticPr fontId="2" type="noConversion"/>
  </si>
  <si>
    <t>评审团平均分</t>
    <phoneticPr fontId="2" type="noConversion"/>
  </si>
  <si>
    <t>作品编号</t>
    <phoneticPr fontId="2" type="noConversion"/>
  </si>
  <si>
    <t>起评分分组</t>
    <phoneticPr fontId="2" type="noConversion"/>
  </si>
  <si>
    <t>70分起评组</t>
  </si>
  <si>
    <t>70分起评组</t>
    <phoneticPr fontId="2" type="noConversion"/>
  </si>
  <si>
    <t>75分起评组</t>
  </si>
  <si>
    <t>75分起评组</t>
    <phoneticPr fontId="2" type="noConversion"/>
  </si>
  <si>
    <t>80分起评组</t>
  </si>
  <si>
    <t>80分起评组</t>
    <phoneticPr fontId="2" type="noConversion"/>
  </si>
  <si>
    <t>评审团评分【60%】</t>
    <phoneticPr fontId="2" type="noConversion"/>
  </si>
  <si>
    <t>流量得分【40%】</t>
    <phoneticPr fontId="2" type="noConversion"/>
  </si>
  <si>
    <t>最终
得分</t>
    <phoneticPr fontId="2" type="noConversion"/>
  </si>
  <si>
    <t>时长严重不足，未纳入评比</t>
    <phoneticPr fontId="2" type="noConversion"/>
  </si>
  <si>
    <t>内容与其他参赛作品高度重合</t>
    <phoneticPr fontId="2" type="noConversion"/>
  </si>
  <si>
    <t>法商青年</t>
    <phoneticPr fontId="2" type="noConversion"/>
  </si>
  <si>
    <t>the beauty of compus</t>
    <phoneticPr fontId="2" type="noConversion"/>
  </si>
  <si>
    <t>浏览量得分</t>
    <phoneticPr fontId="2" type="noConversion"/>
  </si>
  <si>
    <t>点赞量得分</t>
    <phoneticPr fontId="2" type="noConversion"/>
  </si>
  <si>
    <t>合计【（点赞量得分+浏览量得分）/2】</t>
    <phoneticPr fontId="2" type="noConversion"/>
  </si>
  <si>
    <t>疑似非原创</t>
  </si>
  <si>
    <t>“喜迎二十大、永远跟党走、奋进新征程”原创短视频大赛评分明细</t>
    <phoneticPr fontId="2" type="noConversion"/>
  </si>
  <si>
    <t>校园生活2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</si>
</sst>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scheme val="minor"/>
    </font>
    <font>
      <sz val="11"/>
      <color rgb="FFFF0000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0" fillId="0" borderId="0" xfId="0" applyNumberFormat="1"/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/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728B8-5DB3-4F26-8B35-17E493B43021}">
  <dimension ref="A1:O41"/>
  <sheetViews>
    <sheetView tabSelected="1" workbookViewId="0">
      <selection activeCell="C6" sqref="C6"/>
    </sheetView>
  </sheetViews>
  <sheetFormatPr defaultRowHeight="13.8" x14ac:dyDescent="0.25"/>
  <cols>
    <col min="1" max="1" width="7.21875" customWidth="1"/>
    <col min="2" max="2" width="14.6640625" style="1" customWidth="1"/>
    <col min="3" max="3" width="33.44140625" customWidth="1"/>
    <col min="4" max="8" width="9" customWidth="1"/>
    <col min="9" max="9" width="9.33203125" customWidth="1"/>
    <col min="10" max="11" width="11.33203125" customWidth="1"/>
    <col min="12" max="12" width="26.77734375" customWidth="1"/>
    <col min="13" max="13" width="9.33203125" style="9" customWidth="1"/>
    <col min="14" max="14" width="7.5546875" customWidth="1"/>
  </cols>
  <sheetData>
    <row r="1" spans="1:15" ht="34.200000000000003" customHeight="1" x14ac:dyDescent="0.25">
      <c r="A1" s="2" t="s">
        <v>65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5" ht="15.6" customHeight="1" x14ac:dyDescent="0.25">
      <c r="A2" s="3" t="s">
        <v>46</v>
      </c>
      <c r="B2" s="3" t="s">
        <v>47</v>
      </c>
      <c r="C2" s="3" t="s">
        <v>44</v>
      </c>
      <c r="D2" s="3" t="s">
        <v>54</v>
      </c>
      <c r="E2" s="3"/>
      <c r="F2" s="3"/>
      <c r="G2" s="3"/>
      <c r="H2" s="3"/>
      <c r="I2" s="3"/>
      <c r="J2" s="3" t="s">
        <v>55</v>
      </c>
      <c r="K2" s="3"/>
      <c r="L2" s="3"/>
      <c r="M2" s="7" t="s">
        <v>56</v>
      </c>
      <c r="N2" s="3" t="s">
        <v>43</v>
      </c>
    </row>
    <row r="3" spans="1:15" ht="46.8" customHeight="1" x14ac:dyDescent="0.25">
      <c r="A3" s="3"/>
      <c r="B3" s="3"/>
      <c r="C3" s="3"/>
      <c r="D3" s="4" t="s">
        <v>0</v>
      </c>
      <c r="E3" s="4" t="s">
        <v>1</v>
      </c>
      <c r="F3" s="4" t="s">
        <v>2</v>
      </c>
      <c r="G3" s="4" t="s">
        <v>3</v>
      </c>
      <c r="H3" s="4" t="s">
        <v>4</v>
      </c>
      <c r="I3" s="4" t="s">
        <v>45</v>
      </c>
      <c r="J3" s="4" t="s">
        <v>61</v>
      </c>
      <c r="K3" s="4" t="s">
        <v>62</v>
      </c>
      <c r="L3" s="4" t="s">
        <v>63</v>
      </c>
      <c r="M3" s="7"/>
      <c r="N3" s="3"/>
    </row>
    <row r="4" spans="1:15" ht="15.6" customHeight="1" x14ac:dyDescent="0.25">
      <c r="A4" s="5">
        <v>36</v>
      </c>
      <c r="B4" s="15" t="s">
        <v>53</v>
      </c>
      <c r="C4" s="10" t="s">
        <v>33</v>
      </c>
      <c r="D4" s="5">
        <v>86</v>
      </c>
      <c r="E4" s="5">
        <v>84</v>
      </c>
      <c r="F4" s="5">
        <v>87</v>
      </c>
      <c r="G4" s="5">
        <v>85</v>
      </c>
      <c r="H4" s="5">
        <v>85</v>
      </c>
      <c r="I4" s="5">
        <f>AVERAGE(D4:H4)</f>
        <v>85.4</v>
      </c>
      <c r="J4" s="5">
        <v>100</v>
      </c>
      <c r="K4" s="5">
        <f>1996*0.01</f>
        <v>19.96</v>
      </c>
      <c r="L4" s="5">
        <f>(J4+K4)/2</f>
        <v>59.980000000000004</v>
      </c>
      <c r="M4" s="8">
        <f>SUM(I4*0.6+L4*0.4)</f>
        <v>75.231999999999999</v>
      </c>
      <c r="N4" s="5" t="s">
        <v>6</v>
      </c>
      <c r="O4" s="16"/>
    </row>
    <row r="5" spans="1:15" ht="15.6" x14ac:dyDescent="0.25">
      <c r="A5" s="5">
        <v>19</v>
      </c>
      <c r="B5" s="15" t="s">
        <v>51</v>
      </c>
      <c r="C5" s="10" t="s">
        <v>26</v>
      </c>
      <c r="D5" s="5">
        <v>79</v>
      </c>
      <c r="E5" s="5">
        <v>76</v>
      </c>
      <c r="F5" s="5">
        <v>83</v>
      </c>
      <c r="G5" s="5">
        <v>77</v>
      </c>
      <c r="H5" s="5">
        <v>85</v>
      </c>
      <c r="I5" s="5">
        <f>AVERAGE(D5:H5)</f>
        <v>80</v>
      </c>
      <c r="J5" s="10">
        <v>100</v>
      </c>
      <c r="K5" s="5">
        <f>2277*0.01</f>
        <v>22.77</v>
      </c>
      <c r="L5" s="5">
        <f>(J5+K5)/2</f>
        <v>61.384999999999998</v>
      </c>
      <c r="M5" s="8">
        <f>SUM(I5*0.6+L5*0.4)</f>
        <v>72.554000000000002</v>
      </c>
      <c r="N5" s="5" t="s">
        <v>6</v>
      </c>
      <c r="O5" s="16"/>
    </row>
    <row r="6" spans="1:15" ht="15.6" x14ac:dyDescent="0.25">
      <c r="A6" s="5">
        <v>20</v>
      </c>
      <c r="B6" s="15" t="s">
        <v>50</v>
      </c>
      <c r="C6" s="10" t="s">
        <v>27</v>
      </c>
      <c r="D6" s="5">
        <v>80</v>
      </c>
      <c r="E6" s="5">
        <v>77</v>
      </c>
      <c r="F6" s="5">
        <v>83</v>
      </c>
      <c r="G6" s="5">
        <v>78</v>
      </c>
      <c r="H6" s="5">
        <v>84</v>
      </c>
      <c r="I6" s="5">
        <f>AVERAGE(D6:H6)</f>
        <v>80.400000000000006</v>
      </c>
      <c r="J6" s="5">
        <v>100</v>
      </c>
      <c r="K6" s="5">
        <f>2148*0.01</f>
        <v>21.48</v>
      </c>
      <c r="L6" s="5">
        <f>(J6+K6)/2</f>
        <v>60.74</v>
      </c>
      <c r="M6" s="8">
        <f>SUM(I6*0.6+L6*0.4)</f>
        <v>72.536000000000001</v>
      </c>
      <c r="N6" s="5" t="s">
        <v>8</v>
      </c>
      <c r="O6" s="17"/>
    </row>
    <row r="7" spans="1:15" ht="15.6" x14ac:dyDescent="0.25">
      <c r="A7" s="5">
        <v>26</v>
      </c>
      <c r="B7" s="15" t="s">
        <v>51</v>
      </c>
      <c r="C7" s="10" t="s">
        <v>25</v>
      </c>
      <c r="D7" s="5">
        <v>92</v>
      </c>
      <c r="E7" s="5">
        <v>85</v>
      </c>
      <c r="F7" s="5">
        <v>79</v>
      </c>
      <c r="G7" s="5">
        <v>86</v>
      </c>
      <c r="H7" s="5">
        <v>79</v>
      </c>
      <c r="I7" s="5">
        <f>AVERAGE(D7:H7)</f>
        <v>84.2</v>
      </c>
      <c r="J7" s="10">
        <v>100</v>
      </c>
      <c r="K7" s="5">
        <f>383*0.01</f>
        <v>3.83</v>
      </c>
      <c r="L7" s="5">
        <f>(J7+K7)/2</f>
        <v>51.914999999999999</v>
      </c>
      <c r="M7" s="8">
        <f>SUM(I7*0.6+L7*0.4)</f>
        <v>71.286000000000001</v>
      </c>
      <c r="N7" s="5" t="s">
        <v>8</v>
      </c>
      <c r="O7" s="16"/>
    </row>
    <row r="8" spans="1:15" ht="15.6" x14ac:dyDescent="0.25">
      <c r="A8" s="5">
        <v>40</v>
      </c>
      <c r="B8" s="15" t="s">
        <v>49</v>
      </c>
      <c r="C8" s="5" t="s">
        <v>5</v>
      </c>
      <c r="D8" s="5">
        <v>77</v>
      </c>
      <c r="E8" s="5">
        <v>76</v>
      </c>
      <c r="F8" s="5">
        <v>75</v>
      </c>
      <c r="G8" s="5">
        <v>73</v>
      </c>
      <c r="H8" s="5">
        <v>79</v>
      </c>
      <c r="I8" s="5">
        <f>AVERAGE(D8:H8)</f>
        <v>76</v>
      </c>
      <c r="J8" s="5">
        <v>100</v>
      </c>
      <c r="K8" s="5">
        <v>9.39</v>
      </c>
      <c r="L8" s="5">
        <f>(J8+K8)/2</f>
        <v>54.695</v>
      </c>
      <c r="M8" s="8">
        <f>SUM(I8*0.6+L8*0.4)</f>
        <v>67.478000000000009</v>
      </c>
      <c r="N8" s="5" t="s">
        <v>8</v>
      </c>
      <c r="O8" s="16"/>
    </row>
    <row r="9" spans="1:15" ht="15.6" x14ac:dyDescent="0.25">
      <c r="A9" s="5">
        <v>37</v>
      </c>
      <c r="B9" s="15" t="s">
        <v>53</v>
      </c>
      <c r="C9" s="10" t="s">
        <v>59</v>
      </c>
      <c r="D9" s="5">
        <v>88</v>
      </c>
      <c r="E9" s="5">
        <v>84</v>
      </c>
      <c r="F9" s="5">
        <v>85</v>
      </c>
      <c r="G9" s="5">
        <v>86</v>
      </c>
      <c r="H9" s="5">
        <v>81</v>
      </c>
      <c r="I9" s="5">
        <f>AVERAGE(D9:H9)</f>
        <v>84.8</v>
      </c>
      <c r="J9" s="5">
        <f>2874*0.005</f>
        <v>14.370000000000001</v>
      </c>
      <c r="K9" s="5">
        <f>750*0.01</f>
        <v>7.5</v>
      </c>
      <c r="L9" s="5">
        <f>(J9+K9)/2</f>
        <v>10.935</v>
      </c>
      <c r="M9" s="8">
        <f>SUM(I9*0.6+L9*0.4)</f>
        <v>55.253999999999998</v>
      </c>
      <c r="N9" s="5" t="s">
        <v>8</v>
      </c>
      <c r="O9" s="16"/>
    </row>
    <row r="10" spans="1:15" ht="15.6" x14ac:dyDescent="0.25">
      <c r="A10" s="5">
        <v>23</v>
      </c>
      <c r="B10" s="15" t="s">
        <v>50</v>
      </c>
      <c r="C10" s="10" t="s">
        <v>28</v>
      </c>
      <c r="D10" s="5">
        <v>84</v>
      </c>
      <c r="E10" s="5">
        <v>80</v>
      </c>
      <c r="F10" s="5">
        <v>84</v>
      </c>
      <c r="G10" s="5">
        <v>80</v>
      </c>
      <c r="H10" s="5">
        <v>85</v>
      </c>
      <c r="I10" s="5">
        <f>AVERAGE(D10:H10)</f>
        <v>82.6</v>
      </c>
      <c r="J10" s="5">
        <f>2960*0.005</f>
        <v>14.8</v>
      </c>
      <c r="K10" s="5">
        <f>110*0.01</f>
        <v>1.1000000000000001</v>
      </c>
      <c r="L10" s="5">
        <f>(J10+K10)/2</f>
        <v>7.95</v>
      </c>
      <c r="M10" s="8">
        <f>SUM(I10*0.6+L10*0.4)</f>
        <v>52.739999999999995</v>
      </c>
      <c r="N10" s="5" t="s">
        <v>11</v>
      </c>
      <c r="O10" s="16"/>
    </row>
    <row r="11" spans="1:15" ht="15.6" x14ac:dyDescent="0.25">
      <c r="A11" s="5">
        <v>32</v>
      </c>
      <c r="B11" s="15" t="s">
        <v>52</v>
      </c>
      <c r="C11" s="5" t="s">
        <v>34</v>
      </c>
      <c r="D11" s="5">
        <v>87</v>
      </c>
      <c r="E11" s="5">
        <v>83</v>
      </c>
      <c r="F11" s="5">
        <v>83</v>
      </c>
      <c r="G11" s="5">
        <v>85</v>
      </c>
      <c r="H11" s="5">
        <v>82</v>
      </c>
      <c r="I11" s="5">
        <f>AVERAGE(D11:H11)</f>
        <v>84</v>
      </c>
      <c r="J11" s="5">
        <f>1856*0.005</f>
        <v>9.2799999999999994</v>
      </c>
      <c r="K11" s="5">
        <f>21*0.01</f>
        <v>0.21</v>
      </c>
      <c r="L11" s="5">
        <f>(J11+K11)/2</f>
        <v>4.7450000000000001</v>
      </c>
      <c r="M11" s="8">
        <f>SUM(I11*0.6+L11*0.4)</f>
        <v>52.298000000000002</v>
      </c>
      <c r="N11" s="5" t="s">
        <v>11</v>
      </c>
      <c r="O11" s="16"/>
    </row>
    <row r="12" spans="1:15" ht="15.6" x14ac:dyDescent="0.25">
      <c r="A12" s="5">
        <v>24</v>
      </c>
      <c r="B12" s="15" t="s">
        <v>50</v>
      </c>
      <c r="C12" s="10" t="s">
        <v>31</v>
      </c>
      <c r="D12" s="10">
        <v>88</v>
      </c>
      <c r="E12" s="10">
        <v>81</v>
      </c>
      <c r="F12" s="10">
        <v>87</v>
      </c>
      <c r="G12" s="10">
        <v>82</v>
      </c>
      <c r="H12" s="10">
        <v>80</v>
      </c>
      <c r="I12" s="10">
        <f>AVERAGE(D12:H12)</f>
        <v>83.6</v>
      </c>
      <c r="J12" s="10">
        <f>1307*0.005</f>
        <v>6.5350000000000001</v>
      </c>
      <c r="K12" s="10">
        <f>36*0.01</f>
        <v>0.36</v>
      </c>
      <c r="L12" s="10">
        <f>(J12+K12)/2</f>
        <v>3.4475000000000002</v>
      </c>
      <c r="M12" s="18">
        <f>SUM(I12*0.6+L12*0.4)</f>
        <v>51.538999999999994</v>
      </c>
      <c r="N12" s="5" t="s">
        <v>11</v>
      </c>
      <c r="O12" s="16"/>
    </row>
    <row r="13" spans="1:15" ht="15.6" x14ac:dyDescent="0.25">
      <c r="A13" s="5">
        <v>22</v>
      </c>
      <c r="B13" s="15" t="s">
        <v>50</v>
      </c>
      <c r="C13" s="10" t="s">
        <v>29</v>
      </c>
      <c r="D13" s="10">
        <v>82</v>
      </c>
      <c r="E13" s="10">
        <v>83</v>
      </c>
      <c r="F13" s="10">
        <v>85</v>
      </c>
      <c r="G13" s="10">
        <v>78</v>
      </c>
      <c r="H13" s="10">
        <v>82</v>
      </c>
      <c r="I13" s="10">
        <f>AVERAGE(D13:H13)</f>
        <v>82</v>
      </c>
      <c r="J13" s="10">
        <f>1854*0.005</f>
        <v>9.27</v>
      </c>
      <c r="K13" s="10">
        <f>165*0.01</f>
        <v>1.6500000000000001</v>
      </c>
      <c r="L13" s="10">
        <f>(J13+K13)/2</f>
        <v>5.46</v>
      </c>
      <c r="M13" s="18">
        <f>SUM(I13*0.6+L13*0.4)</f>
        <v>51.383999999999993</v>
      </c>
      <c r="N13" s="5" t="s">
        <v>11</v>
      </c>
      <c r="O13" s="16"/>
    </row>
    <row r="14" spans="1:15" ht="15.6" x14ac:dyDescent="0.25">
      <c r="A14" s="5">
        <v>9</v>
      </c>
      <c r="B14" s="15" t="s">
        <v>49</v>
      </c>
      <c r="C14" s="10" t="s">
        <v>7</v>
      </c>
      <c r="D14" s="10">
        <v>85</v>
      </c>
      <c r="E14" s="10">
        <v>77</v>
      </c>
      <c r="F14" s="10">
        <v>73</v>
      </c>
      <c r="G14" s="10">
        <v>77</v>
      </c>
      <c r="H14" s="10">
        <v>85</v>
      </c>
      <c r="I14" s="10">
        <f>AVERAGE(D14:H14)</f>
        <v>79.400000000000006</v>
      </c>
      <c r="J14" s="10">
        <f>2040*0.005</f>
        <v>10.200000000000001</v>
      </c>
      <c r="K14" s="10">
        <f>137*0.01</f>
        <v>1.37</v>
      </c>
      <c r="L14" s="10">
        <f>(J14+K14)/2</f>
        <v>5.7850000000000001</v>
      </c>
      <c r="M14" s="18">
        <f>SUM(I14*0.6+L14*0.4)</f>
        <v>49.954000000000001</v>
      </c>
      <c r="N14" s="5" t="s">
        <v>11</v>
      </c>
      <c r="O14" s="16"/>
    </row>
    <row r="15" spans="1:15" ht="15.6" x14ac:dyDescent="0.25">
      <c r="A15" s="5">
        <v>28</v>
      </c>
      <c r="B15" s="15" t="s">
        <v>52</v>
      </c>
      <c r="C15" s="10" t="s">
        <v>35</v>
      </c>
      <c r="D15" s="10">
        <v>81</v>
      </c>
      <c r="E15" s="10">
        <v>82</v>
      </c>
      <c r="F15" s="10">
        <v>84</v>
      </c>
      <c r="G15" s="10">
        <v>82</v>
      </c>
      <c r="H15" s="10">
        <v>80</v>
      </c>
      <c r="I15" s="10">
        <v>80</v>
      </c>
      <c r="J15" s="10">
        <f>3*0.005</f>
        <v>1.4999999999999999E-2</v>
      </c>
      <c r="K15" s="10">
        <v>0</v>
      </c>
      <c r="L15" s="10">
        <f>(J15+K15)/2</f>
        <v>7.4999999999999997E-3</v>
      </c>
      <c r="M15" s="18">
        <f>SUM(I15*0.6+L15*0.4)</f>
        <v>48.003</v>
      </c>
      <c r="N15" s="5" t="s">
        <v>11</v>
      </c>
      <c r="O15" s="16"/>
    </row>
    <row r="16" spans="1:15" ht="15.6" x14ac:dyDescent="0.25">
      <c r="A16" s="5">
        <v>25</v>
      </c>
      <c r="B16" s="15" t="s">
        <v>50</v>
      </c>
      <c r="C16" s="10" t="s">
        <v>30</v>
      </c>
      <c r="D16" s="10">
        <v>78</v>
      </c>
      <c r="E16" s="10">
        <v>80</v>
      </c>
      <c r="F16" s="10">
        <v>79</v>
      </c>
      <c r="G16" s="10">
        <v>78</v>
      </c>
      <c r="H16" s="10">
        <v>79</v>
      </c>
      <c r="I16" s="10">
        <f>AVERAGE(D16:H16)</f>
        <v>78.8</v>
      </c>
      <c r="J16" s="10">
        <f>1448*0.005</f>
        <v>7.24</v>
      </c>
      <c r="K16" s="10">
        <f>107*0.01</f>
        <v>1.07</v>
      </c>
      <c r="L16" s="10">
        <f>(J16+K16)/2</f>
        <v>4.1550000000000002</v>
      </c>
      <c r="M16" s="18">
        <f>SUM(I16*0.6+L16*0.4)</f>
        <v>48.941999999999993</v>
      </c>
      <c r="N16" s="5" t="s">
        <v>11</v>
      </c>
      <c r="O16" s="16"/>
    </row>
    <row r="17" spans="1:15" ht="15.6" x14ac:dyDescent="0.25">
      <c r="A17" s="6">
        <v>12</v>
      </c>
      <c r="B17" s="15" t="s">
        <v>48</v>
      </c>
      <c r="C17" s="10" t="s">
        <v>42</v>
      </c>
      <c r="D17" s="10">
        <v>73</v>
      </c>
      <c r="E17" s="10">
        <v>76</v>
      </c>
      <c r="F17" s="10">
        <v>74</v>
      </c>
      <c r="G17" s="10">
        <v>70</v>
      </c>
      <c r="H17" s="10">
        <v>77</v>
      </c>
      <c r="I17" s="10">
        <f>AVERAGE(D17:H17)</f>
        <v>74</v>
      </c>
      <c r="J17" s="10">
        <f>2725*0.005</f>
        <v>13.625</v>
      </c>
      <c r="K17" s="10">
        <f>188*0.01</f>
        <v>1.8800000000000001</v>
      </c>
      <c r="L17" s="10">
        <f>(J17+K17)/2</f>
        <v>7.7525000000000004</v>
      </c>
      <c r="M17" s="18">
        <f>SUM(I17*0.6+L17*0.4)</f>
        <v>47.500999999999998</v>
      </c>
      <c r="N17" s="5" t="s">
        <v>11</v>
      </c>
      <c r="O17" s="16"/>
    </row>
    <row r="18" spans="1:15" ht="15.6" x14ac:dyDescent="0.25">
      <c r="A18" s="5">
        <v>15</v>
      </c>
      <c r="B18" s="15" t="s">
        <v>48</v>
      </c>
      <c r="C18" s="10" t="s">
        <v>9</v>
      </c>
      <c r="D18" s="10">
        <v>78</v>
      </c>
      <c r="E18" s="10">
        <v>76</v>
      </c>
      <c r="F18" s="10">
        <v>80</v>
      </c>
      <c r="G18" s="10">
        <v>73</v>
      </c>
      <c r="H18" s="10">
        <v>78</v>
      </c>
      <c r="I18" s="10">
        <f>AVERAGE(D18:H18)</f>
        <v>77</v>
      </c>
      <c r="J18" s="10">
        <f>713*0.005</f>
        <v>3.5649999999999999</v>
      </c>
      <c r="K18" s="10">
        <f>94*0.01</f>
        <v>0.94000000000000006</v>
      </c>
      <c r="L18" s="10">
        <f>(J18+K18)/2</f>
        <v>2.2524999999999999</v>
      </c>
      <c r="M18" s="18">
        <f>SUM(I18*0.6+L18*0.4)</f>
        <v>47.100999999999999</v>
      </c>
      <c r="N18" s="10"/>
    </row>
    <row r="19" spans="1:15" ht="15.6" x14ac:dyDescent="0.25">
      <c r="A19" s="5">
        <v>4</v>
      </c>
      <c r="B19" s="15" t="s">
        <v>48</v>
      </c>
      <c r="C19" s="10" t="s">
        <v>10</v>
      </c>
      <c r="D19" s="10">
        <v>83</v>
      </c>
      <c r="E19" s="10">
        <v>76</v>
      </c>
      <c r="F19" s="10">
        <v>76</v>
      </c>
      <c r="G19" s="10">
        <v>75</v>
      </c>
      <c r="H19" s="10">
        <v>80</v>
      </c>
      <c r="I19" s="10">
        <f>AVERAGE(D19:H19)</f>
        <v>78</v>
      </c>
      <c r="J19" s="10">
        <f>254*0.005</f>
        <v>1.27</v>
      </c>
      <c r="K19" s="10">
        <f>10*0.01</f>
        <v>0.1</v>
      </c>
      <c r="L19" s="10">
        <f>(J19+K19)/2</f>
        <v>0.68500000000000005</v>
      </c>
      <c r="M19" s="18">
        <f>SUM(I19*0.6+L19*0.4)</f>
        <v>47.073999999999998</v>
      </c>
      <c r="N19" s="10"/>
    </row>
    <row r="20" spans="1:15" ht="15.6" x14ac:dyDescent="0.25">
      <c r="A20" s="5">
        <v>7</v>
      </c>
      <c r="B20" s="15" t="s">
        <v>48</v>
      </c>
      <c r="C20" s="10" t="s">
        <v>12</v>
      </c>
      <c r="D20" s="10">
        <v>79</v>
      </c>
      <c r="E20" s="10">
        <v>76</v>
      </c>
      <c r="F20" s="10">
        <v>81</v>
      </c>
      <c r="G20" s="10">
        <v>76</v>
      </c>
      <c r="H20" s="10">
        <v>77</v>
      </c>
      <c r="I20" s="10">
        <f>AVERAGE(D20:H20)</f>
        <v>77.8</v>
      </c>
      <c r="J20" s="10">
        <f>259*0.005</f>
        <v>1.2949999999999999</v>
      </c>
      <c r="K20" s="10">
        <f>20*0.01</f>
        <v>0.2</v>
      </c>
      <c r="L20" s="10">
        <f>(J20+K20)/2</f>
        <v>0.74749999999999994</v>
      </c>
      <c r="M20" s="18">
        <f>SUM(I20*0.6+L20*0.4)</f>
        <v>46.978999999999999</v>
      </c>
      <c r="N20" s="10"/>
    </row>
    <row r="21" spans="1:15" ht="15.6" x14ac:dyDescent="0.25">
      <c r="A21" s="5">
        <v>21</v>
      </c>
      <c r="B21" s="15" t="s">
        <v>50</v>
      </c>
      <c r="C21" s="10" t="s">
        <v>32</v>
      </c>
      <c r="D21" s="10">
        <v>76</v>
      </c>
      <c r="E21" s="10">
        <v>76</v>
      </c>
      <c r="F21" s="10">
        <v>75</v>
      </c>
      <c r="G21" s="10">
        <v>75</v>
      </c>
      <c r="H21" s="10">
        <v>80</v>
      </c>
      <c r="I21" s="10">
        <f>AVERAGE(D21:H21)</f>
        <v>76.400000000000006</v>
      </c>
      <c r="J21" s="10">
        <f>1089*0.005</f>
        <v>5.4450000000000003</v>
      </c>
      <c r="K21" s="10">
        <f>22*0.01</f>
        <v>0.22</v>
      </c>
      <c r="L21" s="10">
        <f>(J21+K21)/2</f>
        <v>2.8325</v>
      </c>
      <c r="M21" s="18">
        <f>SUM(I21*0.6+L21*0.4)</f>
        <v>46.973000000000006</v>
      </c>
      <c r="N21" s="10"/>
    </row>
    <row r="22" spans="1:15" ht="15.6" x14ac:dyDescent="0.25">
      <c r="A22" s="5">
        <v>5</v>
      </c>
      <c r="B22" s="15" t="s">
        <v>48</v>
      </c>
      <c r="C22" s="10" t="s">
        <v>14</v>
      </c>
      <c r="D22" s="10">
        <v>78</v>
      </c>
      <c r="E22" s="10">
        <v>75</v>
      </c>
      <c r="F22" s="10">
        <v>80</v>
      </c>
      <c r="G22" s="10">
        <v>74</v>
      </c>
      <c r="H22" s="10">
        <v>80</v>
      </c>
      <c r="I22" s="10">
        <f>AVERAGE(D22:H22)</f>
        <v>77.400000000000006</v>
      </c>
      <c r="J22" s="10">
        <f>320*0.005</f>
        <v>1.6</v>
      </c>
      <c r="K22" s="10">
        <f>32*0.01</f>
        <v>0.32</v>
      </c>
      <c r="L22" s="10">
        <f>(J22+K22)/2</f>
        <v>0.96000000000000008</v>
      </c>
      <c r="M22" s="18">
        <f>SUM(I22*0.6+L22*0.4)</f>
        <v>46.824000000000005</v>
      </c>
      <c r="N22" s="10"/>
    </row>
    <row r="23" spans="1:15" s="14" customFormat="1" ht="15.6" customHeight="1" x14ac:dyDescent="0.25">
      <c r="A23" s="5">
        <v>2</v>
      </c>
      <c r="B23" s="15" t="s">
        <v>48</v>
      </c>
      <c r="C23" s="10" t="s">
        <v>13</v>
      </c>
      <c r="D23" s="10">
        <v>75</v>
      </c>
      <c r="E23" s="10">
        <v>75</v>
      </c>
      <c r="F23" s="10">
        <v>78</v>
      </c>
      <c r="G23" s="10">
        <v>76</v>
      </c>
      <c r="H23" s="10">
        <v>78</v>
      </c>
      <c r="I23" s="10">
        <f>AVERAGE(D23:H23)</f>
        <v>76.400000000000006</v>
      </c>
      <c r="J23" s="10">
        <f>651*0.005</f>
        <v>3.2549999999999999</v>
      </c>
      <c r="K23" s="10">
        <f>29*0.01</f>
        <v>0.28999999999999998</v>
      </c>
      <c r="L23" s="10">
        <f>(J23+K23)/2</f>
        <v>1.7725</v>
      </c>
      <c r="M23" s="18">
        <f>SUM(I23*0.6+L23*0.4)</f>
        <v>46.549000000000007</v>
      </c>
      <c r="N23" s="10"/>
    </row>
    <row r="24" spans="1:15" s="14" customFormat="1" ht="15.6" x14ac:dyDescent="0.25">
      <c r="A24" s="5">
        <v>10</v>
      </c>
      <c r="B24" s="15" t="s">
        <v>48</v>
      </c>
      <c r="C24" s="10" t="s">
        <v>17</v>
      </c>
      <c r="D24" s="10">
        <v>75</v>
      </c>
      <c r="E24" s="10">
        <v>76</v>
      </c>
      <c r="F24" s="10">
        <v>77</v>
      </c>
      <c r="G24" s="10">
        <v>72</v>
      </c>
      <c r="H24" s="10">
        <v>82</v>
      </c>
      <c r="I24" s="10">
        <f>AVERAGE(D24:H24)</f>
        <v>76.400000000000006</v>
      </c>
      <c r="J24" s="10">
        <f>238*0.005</f>
        <v>1.19</v>
      </c>
      <c r="K24" s="10">
        <f>9*0.01</f>
        <v>0.09</v>
      </c>
      <c r="L24" s="10">
        <f>(J24+K24)/2</f>
        <v>0.64</v>
      </c>
      <c r="M24" s="18">
        <f>SUM(I24*0.6+L24*0.4)</f>
        <v>46.096000000000004</v>
      </c>
      <c r="N24" s="10"/>
    </row>
    <row r="25" spans="1:15" ht="15.6" x14ac:dyDescent="0.25">
      <c r="A25" s="5">
        <v>11</v>
      </c>
      <c r="B25" s="15" t="s">
        <v>48</v>
      </c>
      <c r="C25" s="10" t="s">
        <v>16</v>
      </c>
      <c r="D25" s="10">
        <v>76</v>
      </c>
      <c r="E25" s="10">
        <v>76</v>
      </c>
      <c r="F25" s="10">
        <v>75</v>
      </c>
      <c r="G25" s="10">
        <v>73</v>
      </c>
      <c r="H25" s="10">
        <v>79</v>
      </c>
      <c r="I25" s="10">
        <f>AVERAGE(D25:H25)</f>
        <v>75.8</v>
      </c>
      <c r="J25" s="10">
        <f>413*0.005</f>
        <v>2.0649999999999999</v>
      </c>
      <c r="K25" s="10">
        <f>60*0.01</f>
        <v>0.6</v>
      </c>
      <c r="L25" s="10">
        <f>(J25+K25)/2</f>
        <v>1.3325</v>
      </c>
      <c r="M25" s="18">
        <f>SUM(I25*0.6+L25*0.4)</f>
        <v>46.012999999999998</v>
      </c>
      <c r="N25" s="10"/>
    </row>
    <row r="26" spans="1:15" ht="15.6" x14ac:dyDescent="0.25">
      <c r="A26" s="5">
        <v>1</v>
      </c>
      <c r="B26" s="15" t="s">
        <v>48</v>
      </c>
      <c r="C26" s="10" t="s">
        <v>15</v>
      </c>
      <c r="D26" s="10">
        <v>78</v>
      </c>
      <c r="E26" s="10">
        <v>72</v>
      </c>
      <c r="F26" s="10">
        <v>75</v>
      </c>
      <c r="G26" s="10">
        <v>77</v>
      </c>
      <c r="H26" s="10">
        <v>75</v>
      </c>
      <c r="I26" s="10">
        <f>AVERAGE(D26:H26)</f>
        <v>75.400000000000006</v>
      </c>
      <c r="J26" s="10">
        <f>623*0.005</f>
        <v>3.1150000000000002</v>
      </c>
      <c r="K26" s="10">
        <f>26*0.01</f>
        <v>0.26</v>
      </c>
      <c r="L26" s="10">
        <f>(J26+K26)/2</f>
        <v>1.6875</v>
      </c>
      <c r="M26" s="18">
        <f>SUM(I26*0.6+L26*0.4)</f>
        <v>45.914999999999999</v>
      </c>
      <c r="N26" s="10"/>
    </row>
    <row r="27" spans="1:15" ht="15.6" x14ac:dyDescent="0.25">
      <c r="A27" s="5">
        <v>14</v>
      </c>
      <c r="B27" s="15" t="s">
        <v>48</v>
      </c>
      <c r="C27" s="10" t="s">
        <v>18</v>
      </c>
      <c r="D27" s="10">
        <v>75</v>
      </c>
      <c r="E27" s="10">
        <v>76</v>
      </c>
      <c r="F27" s="10">
        <v>71</v>
      </c>
      <c r="G27" s="10">
        <v>72</v>
      </c>
      <c r="H27" s="10">
        <v>82</v>
      </c>
      <c r="I27" s="10">
        <f>AVERAGE(D27:H27)</f>
        <v>75.2</v>
      </c>
      <c r="J27" s="10">
        <f>422*0.005</f>
        <v>2.11</v>
      </c>
      <c r="K27" s="10">
        <f>58*0.01</f>
        <v>0.57999999999999996</v>
      </c>
      <c r="L27" s="10">
        <f>(J27+K27)/2</f>
        <v>1.345</v>
      </c>
      <c r="M27" s="18">
        <f>SUM(I27*0.6+L27*0.4)</f>
        <v>45.657999999999994</v>
      </c>
      <c r="N27" s="10"/>
    </row>
    <row r="28" spans="1:15" ht="15.6" x14ac:dyDescent="0.25">
      <c r="A28" s="5">
        <v>17</v>
      </c>
      <c r="B28" s="15" t="s">
        <v>48</v>
      </c>
      <c r="C28" s="10" t="s">
        <v>19</v>
      </c>
      <c r="D28" s="10">
        <v>78</v>
      </c>
      <c r="E28" s="10">
        <v>76</v>
      </c>
      <c r="F28" s="10">
        <v>73</v>
      </c>
      <c r="G28" s="10">
        <v>75</v>
      </c>
      <c r="H28" s="10">
        <v>75</v>
      </c>
      <c r="I28" s="10">
        <f>AVERAGE(D28:H28)</f>
        <v>75.400000000000006</v>
      </c>
      <c r="J28" s="10">
        <f>221*0.005</f>
        <v>1.105</v>
      </c>
      <c r="K28" s="10">
        <f>11*0.01</f>
        <v>0.11</v>
      </c>
      <c r="L28" s="10">
        <f>(J28+K28)/2</f>
        <v>0.60750000000000004</v>
      </c>
      <c r="M28" s="18">
        <f>SUM(I28*0.6+L28*0.4)</f>
        <v>45.483000000000004</v>
      </c>
      <c r="N28" s="10"/>
    </row>
    <row r="29" spans="1:15" ht="15.6" x14ac:dyDescent="0.25">
      <c r="A29" s="5">
        <v>18</v>
      </c>
      <c r="B29" s="15" t="s">
        <v>48</v>
      </c>
      <c r="C29" s="5" t="s">
        <v>21</v>
      </c>
      <c r="D29" s="5">
        <v>75</v>
      </c>
      <c r="E29" s="5">
        <v>75</v>
      </c>
      <c r="F29" s="5">
        <v>75</v>
      </c>
      <c r="G29" s="5">
        <v>74</v>
      </c>
      <c r="H29" s="5">
        <v>74</v>
      </c>
      <c r="I29" s="5">
        <f>AVERAGE(D29:H29)</f>
        <v>74.599999999999994</v>
      </c>
      <c r="J29" s="5">
        <f>324*0.005</f>
        <v>1.62</v>
      </c>
      <c r="K29" s="5">
        <f>24*0.01</f>
        <v>0.24</v>
      </c>
      <c r="L29" s="5">
        <f>(J29+K29)/2</f>
        <v>0.93</v>
      </c>
      <c r="M29" s="8">
        <f>SUM(I29*0.6+L29*0.4)</f>
        <v>45.131999999999998</v>
      </c>
      <c r="N29" s="5"/>
    </row>
    <row r="30" spans="1:15" ht="15.6" x14ac:dyDescent="0.25">
      <c r="A30" s="5">
        <v>13</v>
      </c>
      <c r="B30" s="15" t="s">
        <v>48</v>
      </c>
      <c r="C30" s="5" t="s">
        <v>20</v>
      </c>
      <c r="D30" s="5">
        <v>73</v>
      </c>
      <c r="E30" s="5">
        <v>76</v>
      </c>
      <c r="F30" s="5">
        <v>78</v>
      </c>
      <c r="G30" s="5">
        <v>70</v>
      </c>
      <c r="H30" s="5">
        <v>75</v>
      </c>
      <c r="I30" s="5">
        <f>AVERAGE(D30:H30)</f>
        <v>74.400000000000006</v>
      </c>
      <c r="J30" s="5">
        <f>364*0.005</f>
        <v>1.82</v>
      </c>
      <c r="K30" s="5">
        <f>61*0.01</f>
        <v>0.61</v>
      </c>
      <c r="L30" s="5">
        <f>(J30+K30)/2</f>
        <v>1.2150000000000001</v>
      </c>
      <c r="M30" s="8">
        <f>SUM(I30*0.6+L30*0.4)</f>
        <v>45.125999999999998</v>
      </c>
      <c r="N30" s="5"/>
    </row>
    <row r="31" spans="1:15" ht="15.6" x14ac:dyDescent="0.25">
      <c r="A31" s="5">
        <v>16</v>
      </c>
      <c r="B31" s="15" t="s">
        <v>48</v>
      </c>
      <c r="C31" s="5" t="s">
        <v>22</v>
      </c>
      <c r="D31" s="5">
        <v>72</v>
      </c>
      <c r="E31" s="5">
        <v>75</v>
      </c>
      <c r="F31" s="5">
        <v>74</v>
      </c>
      <c r="G31" s="5">
        <v>72</v>
      </c>
      <c r="H31" s="5">
        <v>78</v>
      </c>
      <c r="I31" s="5">
        <f>AVERAGE(D31:H31)</f>
        <v>74.2</v>
      </c>
      <c r="J31" s="5">
        <f>402*0.005</f>
        <v>2.0100000000000002</v>
      </c>
      <c r="K31" s="5">
        <f>31*0.01</f>
        <v>0.31</v>
      </c>
      <c r="L31" s="5">
        <f>(J31+K31)/2</f>
        <v>1.1600000000000001</v>
      </c>
      <c r="M31" s="8">
        <f>SUM(I31*0.6+L31*0.4)</f>
        <v>44.984000000000002</v>
      </c>
      <c r="N31" s="5"/>
    </row>
    <row r="32" spans="1:15" ht="15.6" x14ac:dyDescent="0.25">
      <c r="A32" s="5">
        <v>3</v>
      </c>
      <c r="B32" s="15" t="s">
        <v>48</v>
      </c>
      <c r="C32" s="5" t="s">
        <v>23</v>
      </c>
      <c r="D32" s="5">
        <v>72</v>
      </c>
      <c r="E32" s="5">
        <v>73</v>
      </c>
      <c r="F32" s="5">
        <v>70</v>
      </c>
      <c r="G32" s="5">
        <v>73</v>
      </c>
      <c r="H32" s="5">
        <v>75</v>
      </c>
      <c r="I32" s="5">
        <f>AVERAGE(D32:H32)</f>
        <v>72.599999999999994</v>
      </c>
      <c r="J32" s="5">
        <f>519*0.005</f>
        <v>2.5950000000000002</v>
      </c>
      <c r="K32" s="5">
        <f>21*0.01</f>
        <v>0.21</v>
      </c>
      <c r="L32" s="5">
        <f>(J32+K32)/2</f>
        <v>1.4025000000000001</v>
      </c>
      <c r="M32" s="8">
        <f>SUM(I32*0.6+L32*0.4)</f>
        <v>44.120999999999995</v>
      </c>
      <c r="N32" s="5"/>
    </row>
    <row r="33" spans="1:14" ht="15.6" x14ac:dyDescent="0.25">
      <c r="A33" s="5">
        <v>6</v>
      </c>
      <c r="B33" s="15" t="s">
        <v>48</v>
      </c>
      <c r="C33" s="5" t="s">
        <v>24</v>
      </c>
      <c r="D33" s="5">
        <v>72</v>
      </c>
      <c r="E33" s="5">
        <v>75</v>
      </c>
      <c r="F33" s="5">
        <v>72</v>
      </c>
      <c r="G33" s="5">
        <v>70</v>
      </c>
      <c r="H33" s="5">
        <v>71</v>
      </c>
      <c r="I33" s="5">
        <f>AVERAGE(D33:H33)</f>
        <v>72</v>
      </c>
      <c r="J33" s="5">
        <f>157*0.005</f>
        <v>0.78500000000000003</v>
      </c>
      <c r="K33" s="5">
        <f>9*0.01</f>
        <v>0.09</v>
      </c>
      <c r="L33" s="5">
        <f>(J33+K33)/2</f>
        <v>0.4375</v>
      </c>
      <c r="M33" s="8">
        <f>SUM(I33*0.6+L33*0.4)</f>
        <v>43.374999999999993</v>
      </c>
      <c r="N33" s="5"/>
    </row>
    <row r="34" spans="1:14" ht="15.6" x14ac:dyDescent="0.25">
      <c r="A34" s="10">
        <v>8</v>
      </c>
      <c r="B34" s="15" t="s">
        <v>48</v>
      </c>
      <c r="C34" s="10" t="s">
        <v>60</v>
      </c>
      <c r="D34" s="11" t="s">
        <v>57</v>
      </c>
      <c r="E34" s="12"/>
      <c r="F34" s="12"/>
      <c r="G34" s="12"/>
      <c r="H34" s="12"/>
      <c r="I34" s="12"/>
      <c r="J34" s="12"/>
      <c r="K34" s="12"/>
      <c r="L34" s="12"/>
      <c r="M34" s="13"/>
      <c r="N34" s="10"/>
    </row>
    <row r="35" spans="1:14" ht="15.6" x14ac:dyDescent="0.25">
      <c r="A35" s="10">
        <v>27</v>
      </c>
      <c r="B35" s="15" t="s">
        <v>50</v>
      </c>
      <c r="C35" s="10" t="s">
        <v>66</v>
      </c>
      <c r="D35" s="11" t="s">
        <v>58</v>
      </c>
      <c r="E35" s="12"/>
      <c r="F35" s="12"/>
      <c r="G35" s="12"/>
      <c r="H35" s="12"/>
      <c r="I35" s="12"/>
      <c r="J35" s="12"/>
      <c r="K35" s="12"/>
      <c r="L35" s="12"/>
      <c r="M35" s="13"/>
      <c r="N35" s="10"/>
    </row>
    <row r="36" spans="1:14" ht="15.6" customHeight="1" x14ac:dyDescent="0.25">
      <c r="A36" s="5">
        <v>35</v>
      </c>
      <c r="B36" s="15" t="s">
        <v>52</v>
      </c>
      <c r="C36" s="5" t="s">
        <v>36</v>
      </c>
      <c r="D36" s="19" t="s">
        <v>64</v>
      </c>
      <c r="E36" s="20"/>
      <c r="F36" s="20"/>
      <c r="G36" s="20"/>
      <c r="H36" s="20"/>
      <c r="I36" s="20"/>
      <c r="J36" s="20"/>
      <c r="K36" s="20"/>
      <c r="L36" s="20"/>
      <c r="M36" s="21"/>
      <c r="N36" s="5"/>
    </row>
    <row r="37" spans="1:14" ht="15.6" customHeight="1" x14ac:dyDescent="0.25">
      <c r="A37" s="5">
        <v>30</v>
      </c>
      <c r="B37" s="15" t="s">
        <v>52</v>
      </c>
      <c r="C37" s="5" t="s">
        <v>37</v>
      </c>
      <c r="D37" s="19" t="s">
        <v>64</v>
      </c>
      <c r="E37" s="20"/>
      <c r="F37" s="20"/>
      <c r="G37" s="20"/>
      <c r="H37" s="20"/>
      <c r="I37" s="20"/>
      <c r="J37" s="20"/>
      <c r="K37" s="20"/>
      <c r="L37" s="20"/>
      <c r="M37" s="21"/>
      <c r="N37" s="5"/>
    </row>
    <row r="38" spans="1:14" ht="15.6" x14ac:dyDescent="0.25">
      <c r="A38" s="5">
        <v>34</v>
      </c>
      <c r="B38" s="15" t="s">
        <v>52</v>
      </c>
      <c r="C38" s="5" t="s">
        <v>38</v>
      </c>
      <c r="D38" s="19" t="s">
        <v>64</v>
      </c>
      <c r="E38" s="20"/>
      <c r="F38" s="20"/>
      <c r="G38" s="20"/>
      <c r="H38" s="20"/>
      <c r="I38" s="20"/>
      <c r="J38" s="20"/>
      <c r="K38" s="20"/>
      <c r="L38" s="20"/>
      <c r="M38" s="21"/>
      <c r="N38" s="5"/>
    </row>
    <row r="39" spans="1:14" ht="15.6" customHeight="1" x14ac:dyDescent="0.25">
      <c r="A39" s="5">
        <v>33</v>
      </c>
      <c r="B39" s="15" t="s">
        <v>52</v>
      </c>
      <c r="C39" s="5" t="s">
        <v>39</v>
      </c>
      <c r="D39" s="19" t="s">
        <v>64</v>
      </c>
      <c r="E39" s="20"/>
      <c r="F39" s="20"/>
      <c r="G39" s="20"/>
      <c r="H39" s="20"/>
      <c r="I39" s="20"/>
      <c r="J39" s="20"/>
      <c r="K39" s="20"/>
      <c r="L39" s="20"/>
      <c r="M39" s="21"/>
      <c r="N39" s="5"/>
    </row>
    <row r="40" spans="1:14" ht="15.6" customHeight="1" x14ac:dyDescent="0.25">
      <c r="A40" s="5">
        <v>29</v>
      </c>
      <c r="B40" s="15" t="s">
        <v>52</v>
      </c>
      <c r="C40" s="5" t="s">
        <v>40</v>
      </c>
      <c r="D40" s="19" t="s">
        <v>64</v>
      </c>
      <c r="E40" s="20"/>
      <c r="F40" s="20"/>
      <c r="G40" s="20"/>
      <c r="H40" s="20"/>
      <c r="I40" s="20"/>
      <c r="J40" s="20"/>
      <c r="K40" s="20"/>
      <c r="L40" s="20"/>
      <c r="M40" s="21"/>
      <c r="N40" s="5"/>
    </row>
    <row r="41" spans="1:14" ht="15.6" customHeight="1" x14ac:dyDescent="0.25">
      <c r="A41" s="5">
        <v>31</v>
      </c>
      <c r="B41" s="15" t="s">
        <v>52</v>
      </c>
      <c r="C41" s="5" t="s">
        <v>41</v>
      </c>
      <c r="D41" s="19" t="s">
        <v>64</v>
      </c>
      <c r="E41" s="20"/>
      <c r="F41" s="20"/>
      <c r="G41" s="20"/>
      <c r="H41" s="20"/>
      <c r="I41" s="20"/>
      <c r="J41" s="20"/>
      <c r="K41" s="20"/>
      <c r="L41" s="20"/>
      <c r="M41" s="21"/>
      <c r="N41" s="5"/>
    </row>
  </sheetData>
  <sortState xmlns:xlrd2="http://schemas.microsoft.com/office/spreadsheetml/2017/richdata2" ref="A4:N35">
    <sortCondition descending="1" ref="M4:M35"/>
  </sortState>
  <mergeCells count="16">
    <mergeCell ref="D40:M40"/>
    <mergeCell ref="D41:M41"/>
    <mergeCell ref="D34:M34"/>
    <mergeCell ref="D35:M35"/>
    <mergeCell ref="D36:M36"/>
    <mergeCell ref="D37:M37"/>
    <mergeCell ref="D38:M38"/>
    <mergeCell ref="D39:M39"/>
    <mergeCell ref="A1:N1"/>
    <mergeCell ref="A2:A3"/>
    <mergeCell ref="B2:B3"/>
    <mergeCell ref="C2:C3"/>
    <mergeCell ref="D2:I2"/>
    <mergeCell ref="J2:L2"/>
    <mergeCell ref="M2:M3"/>
    <mergeCell ref="N2:N3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linxihanxi</dc:creator>
  <cp:lastModifiedBy>ASUS</cp:lastModifiedBy>
  <dcterms:created xsi:type="dcterms:W3CDTF">2015-06-05T18:19:34Z</dcterms:created>
  <dcterms:modified xsi:type="dcterms:W3CDTF">2022-06-03T05:28:00Z</dcterms:modified>
</cp:coreProperties>
</file>